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WNG\NAC\Regulierungsmanagement\Regulierung 2023\Internet\Vorbereitende Dokumente\Gas\"/>
    </mc:Choice>
  </mc:AlternateContent>
  <xr:revisionPtr revIDLastSave="0" documentId="14_{AE11D36C-601F-4E72-BCA6-036E39BDCFC8}" xr6:coauthVersionLast="47" xr6:coauthVersionMax="47" xr10:uidLastSave="{00000000-0000-0000-0000-000000000000}"/>
  <bookViews>
    <workbookView xWindow="28680" yWindow="-120" windowWidth="29040" windowHeight="176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J63" i="18"/>
  <c r="K53" i="18"/>
  <c r="F53" i="18"/>
  <c r="M63" i="18"/>
  <c r="I53" i="18"/>
  <c r="N53" i="18"/>
  <c r="E53" i="18"/>
  <c r="J53" i="18"/>
  <c r="F63" i="18"/>
  <c r="K63" i="18"/>
  <c r="D22" i="18"/>
  <c r="F21" i="18" s="1"/>
  <c r="G53" i="18"/>
  <c r="D56" i="18" s="1"/>
  <c r="J55" i="18" s="1"/>
  <c r="M53" i="18"/>
  <c r="I63" i="18"/>
  <c r="N63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K21" i="18" l="1"/>
  <c r="I21" i="18"/>
  <c r="M21" i="18"/>
  <c r="N21" i="18"/>
  <c r="L21" i="18"/>
  <c r="J21" i="18"/>
  <c r="H21" i="18"/>
  <c r="E21" i="18" s="1"/>
  <c r="E31" i="18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65" i="18" l="1"/>
  <c r="X12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1" i="7" s="1"/>
  <c r="H21" i="4"/>
  <c r="V21" i="7" s="1"/>
  <c r="G21" i="4"/>
  <c r="U21" i="7" s="1"/>
  <c r="F21" i="4"/>
  <c r="T21" i="7" s="1"/>
  <c r="E21" i="4"/>
  <c r="S21" i="7" s="1"/>
  <c r="D21" i="4"/>
  <c r="R21" i="7" s="1"/>
  <c r="M20" i="4"/>
  <c r="M19" i="4"/>
  <c r="M16" i="4"/>
  <c r="M18" i="4"/>
  <c r="M17" i="4"/>
  <c r="M15" i="4"/>
  <c r="M14" i="4"/>
  <c r="M13" i="4"/>
  <c r="M12" i="4"/>
  <c r="M11" i="4"/>
  <c r="X21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25" i="7" l="1"/>
  <c r="J25" i="7"/>
  <c r="P24" i="7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P14" i="7"/>
  <c r="H14" i="7"/>
  <c r="J13" i="7"/>
  <c r="L12" i="7"/>
  <c r="M25" i="7"/>
  <c r="I25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F12" i="7"/>
  <c r="L15" i="7"/>
  <c r="N14" i="7"/>
  <c r="J14" i="7"/>
  <c r="L13" i="7"/>
  <c r="H13" i="7"/>
  <c r="N12" i="7"/>
  <c r="P25" i="7"/>
  <c r="L25" i="7"/>
  <c r="H25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H15" i="7"/>
  <c r="P13" i="7"/>
  <c r="J12" i="7"/>
  <c r="O25" i="7"/>
  <c r="K25" i="7"/>
  <c r="F25" i="7"/>
  <c r="M24" i="7"/>
  <c r="I24" i="7"/>
  <c r="O23" i="7"/>
  <c r="K23" i="7"/>
  <c r="F23" i="7"/>
  <c r="M22" i="7"/>
  <c r="I22" i="7"/>
  <c r="O21" i="7"/>
  <c r="K21" i="7"/>
  <c r="F21" i="7"/>
  <c r="M20" i="7"/>
  <c r="I20" i="7"/>
  <c r="O19" i="7"/>
  <c r="K19" i="7"/>
  <c r="F19" i="7"/>
  <c r="M18" i="7"/>
  <c r="I18" i="7"/>
  <c r="O17" i="7"/>
  <c r="K17" i="7"/>
  <c r="F17" i="7"/>
  <c r="M16" i="7"/>
  <c r="I16" i="7"/>
  <c r="O15" i="7"/>
  <c r="K15" i="7"/>
  <c r="F15" i="7"/>
  <c r="M14" i="7"/>
  <c r="I14" i="7"/>
  <c r="O13" i="7"/>
  <c r="K13" i="7"/>
  <c r="F13" i="7"/>
  <c r="M12" i="7"/>
  <c r="I12" i="7"/>
  <c r="J15" i="7"/>
  <c r="L14" i="7"/>
  <c r="N13" i="7"/>
  <c r="P12" i="7"/>
  <c r="H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<sst xmlns="http://schemas.openxmlformats.org/spreadsheetml/2006/main" count="1372" uniqueCount="678">
  <si>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</si>
  <si>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</si>
  <si>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</si>
  <si>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</si>
  <si>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</si>
  <si>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</si>
  <si>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</si>
  <si>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</si>
  <si>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</si>
  <si>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</si>
  <si>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</si>
  <si>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</si>
  <si>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</si>
  <si>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</si>
  <si>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</si>
  <si>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</si>
  <si>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</si>
  <si>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</si>
  <si>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</si>
  <si>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</si>
  <si>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</si>
  <si>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</si>
  <si>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</si>
  <si>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</si>
  <si>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</si>
  <si>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</si>
  <si>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</si>
  <si>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</si>
  <si>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</si>
  <si>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</si>
  <si>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</si>
  <si>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</si>
  <si>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</si>
  <si>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</si>
  <si>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</si>
  <si>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</si>
  <si>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</si>
  <si>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</si>
  <si>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</si>
  <si>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</si>
  <si>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</si>
  <si>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</si>
  <si>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</si>
  <si>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</si>
  <si>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</si>
  <si>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</si>
  <si>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</si>
  <si>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</si>
  <si>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</si>
  <si>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</si>
  <si>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</si>
  <si>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</si>
  <si>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</si>
  <si>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</si>
  <si>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</si>
  <si>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</si>
  <si>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</si>
  <si>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</si>
  <si>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</si>
  <si>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</si>
  <si>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</si>
  <si>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</si>
  <si>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</si>
  <si>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</si>
  <si>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</si>
  <si>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</si>
  <si>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</si>
  <si>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</si>
  <si>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</si>
  <si>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</si>
  <si>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</si>
  <si>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</si>
  <si>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</si>
  <si>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</si>
  <si>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</si>
  <si>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</si>
  <si>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</si>
  <si>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</si>
  <si>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</si>
  <si>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</si>
  <si>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</si>
  <si>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</si>
  <si>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</si>
  <si>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</si>
  <si>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</si>
  <si>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</si>
  <si>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</si>
  <si>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</si>
  <si>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</si>
  <si>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</si>
  <si>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</si>
  <si>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</si>
  <si>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</si>
  <si>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</si>
  <si>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</si>
  <si>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</si>
  <si>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</si>
  <si>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</si>
  <si>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</si>
  <si>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</si>
  <si>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</si>
  <si>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</si>
  <si>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</si>
  <si>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</si>
  <si>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</si>
  <si>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</si>
  <si>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</si>
  <si>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</si>
  <si>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</si>
  <si>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</si>
  <si>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</si>
  <si>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</si>
  <si>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</si>
  <si>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</si>
  <si>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</si>
  <si>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</si>
  <si>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</si>
  <si>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</si>
  <si>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</si>
  <si>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</si>
  <si>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</si>
  <si>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</si>
  <si>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</si>
  <si>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</si>
  <si>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</si>
  <si>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</si>
  <si>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</si>
  <si>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</si>
  <si>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</si>
  <si>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</si>
  <si>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</si>
  <si>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</si>
  <si>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</si>
  <si>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</si>
  <si>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</si>
  <si>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</si>
  <si>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</si>
  <si>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</si>
  <si>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</si>
  <si>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</si>
  <si>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</si>
  <si>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</si>
  <si>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</si>
  <si>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</si>
  <si>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</si>
  <si>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</si>
  <si>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</si>
  <si>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</si>
  <si>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</si>
  <si>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</si>
  <si>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</si>
  <si>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</si>
  <si>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</si>
  <si>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</si>
  <si>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</si>
  <si>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</si>
  <si>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</si>
  <si>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</si>
  <si>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</si>
  <si>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</si>
  <si>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</si>
  <si>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</si>
  <si>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</si>
  <si>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</si>
  <si>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</si>
  <si>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</si>
  <si>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</si>
  <si>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</si>
  <si>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</si>
  <si>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</si>
  <si>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</si>
  <si>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</si>
  <si>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</si>
  <si>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</si>
  <si>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</si>
  <si>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</si>
  <si>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</si>
  <si>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</si>
  <si>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</si>
  <si>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</si>
  <si>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</si>
  <si>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</si>
  <si>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</si>
  <si>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</si>
  <si>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</si>
  <si>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</si>
  <si>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</si>
  <si>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</si>
  <si>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</si>
  <si>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</si>
  <si>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</si>
  <si>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</si>
  <si>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</si>
  <si>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</si>
  <si>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</si>
  <si>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</si>
  <si>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</si>
  <si>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</si>
  <si>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</si>
  <si>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</si>
  <si>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</si>
  <si>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</si>
  <si>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</si>
  <si>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</si>
  <si>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</si>
  <si>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</si>
  <si>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</si>
  <si>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</si>
  <si>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</si>
  <si>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</si>
  <si>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</si>
  <si>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</si>
  <si>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</si>
  <si>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</si>
  <si>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</si>
  <si>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</si>
  <si>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</si>
  <si>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</si>
  <si>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</si>
  <si>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</si>
  <si>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</si>
  <si>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</si>
  <si>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</si>
  <si>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</si>
  <si>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</si>
  <si>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</si>
  <si>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</si>
  <si>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</si>
  <si>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</si>
  <si>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</si>
  <si>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</si>
  <si>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</si>
  <si>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</si>
  <si>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</si>
  <si>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</si>
  <si>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</si>
  <si>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</si>
  <si>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</si>
  <si>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</si>
  <si>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</si>
  <si>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</si>
  <si>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</si>
  <si>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</si>
  <si>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</si>
  <si>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</si>
  <si>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</si>
  <si>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</si>
  <si>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</si>
  <si>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</si>
  <si>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</si>
  <si>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</si>
  <si>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</si>
  <si>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</si>
  <si>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</si>
  <si>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</si>
  <si>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</si>
  <si>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</si>
  <si>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</si>
  <si>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</si>
  <si>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</si>
  <si>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</si>
  <si>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</si>
  <si>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</si>
  <si>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</si>
  <si>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</si>
  <si>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</si>
  <si>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</si>
  <si>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</si>
  <si>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</si>
  <si>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</si>
  <si>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</si>
  <si>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</si>
  <si>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</si>
  <si>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</si>
  <si>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</si>
  <si>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</si>
  <si>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</si>
  <si>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</si>
  <si>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</si>
  <si>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</si>
  <si>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</si>
  <si>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</si>
  <si>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</si>
  <si>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</si>
  <si>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</si>
  <si>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</si>
  <si>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</si>
  <si>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</si>
  <si>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</si>
  <si>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</si>
  <si>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</si>
  <si>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</si>
  <si>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</si>
  <si>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</si>
  <si>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</si>
  <si>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</si>
  <si>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</si>
  <si>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</si>
  <si>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</si>
  <si>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</si>
  <si>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</si>
  <si>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</si>
  <si>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</si>
  <si>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</si>
  <si>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</si>
  <si>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</si>
  <si>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</si>
  <si>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</si>
  <si>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</si>
  <si>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</si>
  <si>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</si>
  <si>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</si>
  <si>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</si>
  <si>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</si>
  <si>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</si>
  <si>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</si>
  <si>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</si>
  <si>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</si>
  <si>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</si>
  <si>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</si>
  <si>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</si>
  <si>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</si>
  <si>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</si>
  <si>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</si>
  <si>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</si>
  <si>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</si>
  <si>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</si>
  <si>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</si>
  <si>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</si>
  <si>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</si>
  <si>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</si>
  <si>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</si>
  <si>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</si>
  <si>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</si>
  <si>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</si>
  <si>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</si>
  <si>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</si>
  <si>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</si>
  <si>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</si>
  <si>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</si>
  <si>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</si>
  <si>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</si>
  <si>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</si>
  <si>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</si>
  <si>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</si>
  <si>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</si>
  <si>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</si>
  <si>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</si>
  <si>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</si>
  <si>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</si>
  <si>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</si>
  <si>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</si>
  <si>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</si>
  <si>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</si>
  <si>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</si>
  <si>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</si>
  <si>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</si>
  <si>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</si>
  <si>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</si>
  <si>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</si>
  <si>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</si>
  <si>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</si>
  <si>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</si>
  <si>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</si>
  <si>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</si>
  <si>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</si>
  <si>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</si>
  <si>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</si>
  <si>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</si>
  <si>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</si>
  <si>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</si>
  <si>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</si>
  <si>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</si>
  <si>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</si>
  <si>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</si>
  <si>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</si>
  <si>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</si>
  <si>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</si>
  <si>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</si>
  <si>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</si>
  <si>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</si>
  <si>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</si>
  <si>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</si>
  <si>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</si>
  <si>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</si>
  <si>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</si>
  <si>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</si>
  <si>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</si>
  <si>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</si>
  <si>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</si>
  <si>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</si>
  <si>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</si>
  <si>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</si>
  <si>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</si>
  <si>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</si>
  <si>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</si>
  <si>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</si>
  <si>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</si>
  <si>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</si>
  <si>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</si>
  <si>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</si>
  <si>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</si>
  <si>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</si>
  <si>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</si>
  <si>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</si>
  <si>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</si>
  <si>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</si>
  <si>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</si>
  <si>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</si>
  <si>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</si>
  <si>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</si>
  <si>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</si>
  <si>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</si>
  <si>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</si>
  <si>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</si>
  <si>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</si>
  <si>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</si>
  <si>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</si>
  <si>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</si>
  <si>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</si>
  <si>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</si>
  <si>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</si>
  <si>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</si>
  <si>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</si>
  <si>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</si>
  <si>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</si>
  <si>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</si>
  <si>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</si>
  <si>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</si>
  <si>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</si>
  <si>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</si>
  <si>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</si>
  <si>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</si>
  <si>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</si>
  <si>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</si>
  <si>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</si>
  <si>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</si>
  <si>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</si>
  <si>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</si>
  <si>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</si>
  <si>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</si>
  <si>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</si>
  <si>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</si>
  <si>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</si>
  <si>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</si>
  <si>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</si>
  <si>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</si>
  <si>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</si>
  <si>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</si>
  <si>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</si>
  <si>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</si>
  <si>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</si>
  <si>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</si>
  <si>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</si>
  <si>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</si>
  <si>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</si>
  <si>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</si>
  <si>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</si>
  <si>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</si>
  <si>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</si>
  <si>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</si>
  <si>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</si>
  <si>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</si>
  <si>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</si>
  <si>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</si>
  <si>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</si>
  <si>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</si>
  <si>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</si>
  <si>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</si>
  <si>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</si>
  <si>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</si>
  <si>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</si>
  <si>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</si>
  <si>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</si>
  <si>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</si>
  <si>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</si>
  <si>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</si>
  <si>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</si>
  <si>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</si>
  <si>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</si>
  <si>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</si>
  <si>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</si>
  <si>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</si>
  <si>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</si>
  <si>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</si>
  <si>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</si>
  <si>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</si>
  <si>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</si>
  <si>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</si>
  <si>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</si>
  <si>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</si>
  <si>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</si>
  <si>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</si>
  <si>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</si>
  <si>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</si>
  <si>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</si>
  <si>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</si>
  <si>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</si>
  <si>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</si>
  <si>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</si>
  <si>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</si>
  <si>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</si>
  <si>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</si>
  <si>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</si>
  <si>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</si>
  <si>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</si>
  <si>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</si>
  <si>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</si>
  <si>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</si>
  <si>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</si>
  <si>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</si>
  <si>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</si>
  <si>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</si>
  <si>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</si>
  <si>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</si>
  <si>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</si>
  <si>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</si>
  <si>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</si>
  <si>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</si>
  <si>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</si>
  <si>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</si>
  <si>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</si>
  <si>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</si>
  <si>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</si>
  <si>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</si>
  <si>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</si>
  <si>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</si>
  <si>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</si>
  <si>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</si>
  <si>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</si>
  <si>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</si>
  <si>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</si>
  <si>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</si>
  <si>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</si>
  <si>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</si>
  <si>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</si>
  <si>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</si>
  <si>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</si>
  <si>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</si>
  <si>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</si>
  <si>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</si>
  <si>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</si>
  <si>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</si>
  <si>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</si>
  <si>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</si>
  <si>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</si>
  <si>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</si>
  <si>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</si>
  <si>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</si>
  <si>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</si>
  <si>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</si>
  <si>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</si>
  <si>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</si>
  <si>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</si>
  <si>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</si>
  <si>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</si>
  <si>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</si>
  <si>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</si>
  <si>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</si>
  <si>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</si>
  <si>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</si>
  <si>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</si>
  <si>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</si>
  <si>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</si>
  <si>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</si>
  <si>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</si>
  <si>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</si>
  <si>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</si>
  <si>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</si>
  <si>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</si>
  <si>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</si>
  <si>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</si>
  <si>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</si>
  <si>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</si>
  <si>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</si>
  <si>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</si>
  <si>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</si>
  <si>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</si>
  <si>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</si>
  <si>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</si>
  <si>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</si>
  <si>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</si>
  <si>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</si>
  <si>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</si>
  <si>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</si>
  <si>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</si>
  <si>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</si>
  <si>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</si>
  <si>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</si>
  <si>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</si>
  <si>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</si>
  <si>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</si>
  <si>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</si>
  <si>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</si>
  <si>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</si>
  <si>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</si>
  <si>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</si>
  <si>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</si>
  <si>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</si>
  <si>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</si>
  <si>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</si>
  <si>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</si>
  <si>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</si>
  <si>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</si>
  <si>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</si>
  <si>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</si>
  <si>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</si>
  <si>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</si>
  <si>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</si>
  <si>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</si>
  <si>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</si>
  <si>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</si>
  <si>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</si>
  <si>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</si>
  <si>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</si>
  <si>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</si>
  <si>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</si>
  <si>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</si>
  <si>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</si>
  <si>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</si>
  <si>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</si>
  <si>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</si>
  <si>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</si>
  <si>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</si>
  <si>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</si>
  <si>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</si>
  <si>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</si>
  <si>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</si>
  <si>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</si>
  <si>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</si>
  <si>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</si>
  <si>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</si>
  <si>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</si>
  <si>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</si>
  <si>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</si>
  <si>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</si>
  <si>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</si>
  <si>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</si>
  <si>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</si>
  <si>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</si>
  <si>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</si>
  <si>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</si>
  <si>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</si>
  <si>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</si>
  <si>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</si>
  <si>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</si>
  <si>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</si>
  <si>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</si>
  <si>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</si>
  <si>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</si>
  <si>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</si>
  <si>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</si>
  <si>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</si>
  <si>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</si>
  <si>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</si>
  <si>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</si>
  <si>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GASPOOLNH7003271</t>
  </si>
  <si>
    <t>DWD Teterow</t>
  </si>
  <si>
    <t>Teterow</t>
  </si>
  <si>
    <t>DE_GBA04</t>
  </si>
  <si>
    <t>DE_GBD04</t>
  </si>
  <si>
    <t>DE_GBH04</t>
  </si>
  <si>
    <t>DE_GGA04</t>
  </si>
  <si>
    <t>DE_GGB04</t>
  </si>
  <si>
    <t>DE_GHA04</t>
  </si>
  <si>
    <t>DE_GKO04</t>
  </si>
  <si>
    <t>DE_GMF04</t>
  </si>
  <si>
    <t>DE_GMK04</t>
  </si>
  <si>
    <t>DE_GPD04</t>
  </si>
  <si>
    <t>DE_GWA04</t>
  </si>
  <si>
    <t>DE_HEF03</t>
  </si>
  <si>
    <t>WEMAG Netz GmbH</t>
  </si>
  <si>
    <t>Obotritenring 40</t>
  </si>
  <si>
    <t>Schwerin</t>
  </si>
  <si>
    <t>Güstrow Umland</t>
  </si>
  <si>
    <t>kontakt@gas-wng.de</t>
  </si>
  <si>
    <t>0385 393 645 45</t>
  </si>
  <si>
    <t>9870122800005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</si>
</sst>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42248</v>
      </c>
      <c r="E29" s="8"/>
      <c r="F29" s="8"/>
      <c r="G29" s="8"/>
      <c r="H29" s="8"/>
    </row>
    <row r="30" spans="2:12">
      <c r="B30" s="21" t="s">
        <v>348</v>
      </c>
      <c r="C30" s="327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5" sqref="D15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42311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39083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671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677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672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19053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673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/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675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676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396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Güstrow Umland</v>
      </c>
      <c r="E28" s="38"/>
      <c r="F28" s="11"/>
      <c r="G28" s="2"/>
    </row>
    <row r="29" spans="1:15">
      <c r="B29" s="15"/>
      <c r="C29" s="22" t="s">
        <v>396</v>
      </c>
      <c r="D29" s="45" t="s">
        <v>674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420</v>
      </c>
      <c r="D31" s="46"/>
      <c r="E31" s="40"/>
      <c r="F31" s="47"/>
      <c r="G31" s="2"/>
    </row>
    <row r="32" spans="1:15">
      <c r="B32" s="15"/>
      <c r="C32" s="22" t="s">
        <v>421</v>
      </c>
      <c r="D32" s="46"/>
      <c r="E32" s="40"/>
      <c r="F32" s="47"/>
      <c r="G32" s="2"/>
    </row>
    <row r="33" spans="2:7">
      <c r="B33" s="15"/>
      <c r="C33" s="22" t="s">
        <v>422</v>
      </c>
      <c r="D33" s="45"/>
      <c r="E33" s="40"/>
      <c r="F33" s="47"/>
      <c r="G33" s="2"/>
    </row>
    <row r="34" spans="2:7">
      <c r="B34" s="15"/>
      <c r="C34" s="22" t="s">
        <v>423</v>
      </c>
      <c r="D34" s="46"/>
      <c r="E34" s="40"/>
      <c r="F34" s="47"/>
      <c r="G34" s="2"/>
    </row>
    <row r="35" spans="2:7">
      <c r="B35" s="15"/>
      <c r="C35" s="22" t="s">
        <v>424</v>
      </c>
      <c r="D35" s="46"/>
      <c r="E35" s="40"/>
      <c r="F35" s="47"/>
      <c r="G35" s="2"/>
    </row>
    <row r="36" spans="2:7">
      <c r="B36" s="15"/>
      <c r="C36" s="22" t="s">
        <v>425</v>
      </c>
      <c r="D36" s="46"/>
      <c r="E36" s="40"/>
      <c r="F36" s="47"/>
      <c r="G36" s="2"/>
    </row>
    <row r="37" spans="2:7">
      <c r="B37" s="15"/>
      <c r="C37" s="22" t="s">
        <v>426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5" priority="2">
      <formula>IF(CELL("Zeile",D29)&lt;$D$25+CELL("Zeile",$D$29),1,0)</formula>
    </cfRule>
  </conditionalFormatting>
  <conditionalFormatting sqref="D30:D48">
    <cfRule type="expression" dxfId="6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80" zoomScaleNormal="80" workbookViewId="0">
      <selection activeCell="D37" sqref="D37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WEMAG Netz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Güstrow Umland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9870122800005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39083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1" t="s">
        <v>611</v>
      </c>
      <c r="I13" s="271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656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570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7" t="s">
        <v>604</v>
      </c>
      <c r="I22" s="267" t="s">
        <v>605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7" t="s">
        <v>607</v>
      </c>
      <c r="I23" s="8" t="s">
        <v>603</v>
      </c>
      <c r="J23" s="8"/>
      <c r="K23" s="8"/>
      <c r="L23" s="268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7" t="s">
        <v>606</v>
      </c>
      <c r="I24" s="267" t="s">
        <v>613</v>
      </c>
      <c r="J24" s="8"/>
      <c r="K24" s="8"/>
      <c r="L24" s="270" t="s">
        <v>614</v>
      </c>
      <c r="M24" s="270" t="s">
        <v>616</v>
      </c>
      <c r="N24" s="270" t="s">
        <v>615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573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617</v>
      </c>
      <c r="D27" s="42" t="s">
        <v>618</v>
      </c>
      <c r="E27" s="15"/>
      <c r="H27" s="297" t="s">
        <v>618</v>
      </c>
      <c r="I27" s="269" t="s">
        <v>619</v>
      </c>
      <c r="J27" s="269" t="s">
        <v>620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621</v>
      </c>
      <c r="I28" s="270" t="s">
        <v>622</v>
      </c>
      <c r="J28" s="270" t="s">
        <v>623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624</v>
      </c>
      <c r="I29" s="270" t="s">
        <v>625</v>
      </c>
      <c r="J29" s="270" t="s">
        <v>626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627</v>
      </c>
      <c r="I32" s="270" t="s">
        <v>628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629</v>
      </c>
      <c r="I33" s="267" t="s">
        <v>624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544</v>
      </c>
      <c r="C35" s="24" t="s">
        <v>494</v>
      </c>
      <c r="D35" s="42">
        <v>14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545</v>
      </c>
      <c r="C37" s="5" t="s">
        <v>366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367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657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63" priority="21">
      <formula>IF($D$11="Gaspool",1,0)</formula>
    </cfRule>
  </conditionalFormatting>
  <conditionalFormatting sqref="D16">
    <cfRule type="expression" dxfId="62" priority="18">
      <formula>IF($D$11="NCG",1,0)</formula>
    </cfRule>
  </conditionalFormatting>
  <conditionalFormatting sqref="D48:D62">
    <cfRule type="expression" dxfId="61" priority="17">
      <formula>IF(CELL("Zeile",D48)&lt;$D$46+CELL("Zeile",$D$48),1,0)</formula>
    </cfRule>
  </conditionalFormatting>
  <conditionalFormatting sqref="D49:D62">
    <cfRule type="expression" dxfId="60" priority="16">
      <formula>IF(CELL(D49)&lt;$D$36+27,1,0)</formula>
    </cfRule>
  </conditionalFormatting>
  <conditionalFormatting sqref="D23">
    <cfRule type="expression" dxfId="59" priority="15">
      <formula>IF($D$22=$H$22,1,0)</formula>
    </cfRule>
  </conditionalFormatting>
  <conditionalFormatting sqref="D31">
    <cfRule type="expression" dxfId="58" priority="4">
      <formula>IF($D$18="synthetisch",1,0)</formula>
    </cfRule>
  </conditionalFormatting>
  <conditionalFormatting sqref="D28">
    <cfRule type="expression" dxfId="57" priority="2">
      <formula>IF(AND($D$27=$I$27,$D$26=$H$26),1,0)</formula>
    </cfRule>
  </conditionalFormatting>
  <conditionalFormatting sqref="D26:D28">
    <cfRule type="expression" dxfId="56" priority="5">
      <formula>IF($D$18="analytisch",1,0)</formula>
    </cfRule>
  </conditionalFormatting>
  <conditionalFormatting sqref="D27">
    <cfRule type="expression" dxfId="55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zoomScale="70" zoomScaleNormal="70" workbookViewId="0">
      <selection activeCell="I36" sqref="I36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WEMAG Netz GmbH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Güstrow Umland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9870122800005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39083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 t="str">
        <f>INDEX('SLP-Verfahren'!D48:D62,'SLP-Temp-Gebiet #01'!F10)</f>
        <v>DWD Teterow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388</v>
      </c>
      <c r="D15" s="343"/>
      <c r="E15" s="89" t="s">
        <v>449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/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492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658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5009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Teterow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5009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3" priority="28">
      <formula>IF(E$20&lt;=$F$18,1,0)</formula>
    </cfRule>
  </conditionalFormatting>
  <conditionalFormatting sqref="E32:N36">
    <cfRule type="expression" dxfId="52" priority="27">
      <formula>IF(E$30&lt;=$F$28,1,0)</formula>
    </cfRule>
  </conditionalFormatting>
  <conditionalFormatting sqref="E26:F26">
    <cfRule type="expression" dxfId="51" priority="26">
      <formula>IF(E$20&lt;=$F$18,1,0)</formula>
    </cfRule>
  </conditionalFormatting>
  <conditionalFormatting sqref="E26:N26">
    <cfRule type="expression" dxfId="50" priority="25">
      <formula>IF(E$20&lt;=$F$18,1,0)</formula>
    </cfRule>
  </conditionalFormatting>
  <conditionalFormatting sqref="E56:N59">
    <cfRule type="expression" dxfId="49" priority="22">
      <formula>IF(E$54&lt;=$F$52,1,0)</formula>
    </cfRule>
  </conditionalFormatting>
  <conditionalFormatting sqref="E60:N60">
    <cfRule type="expression" dxfId="48" priority="21">
      <formula>IF(E$54&lt;=$F$52,1,0)</formula>
    </cfRule>
  </conditionalFormatting>
  <conditionalFormatting sqref="E66:N68">
    <cfRule type="expression" dxfId="47" priority="15">
      <formula>IF(E$64&lt;=$F$62,1,0)</formula>
    </cfRule>
  </conditionalFormatting>
  <conditionalFormatting sqref="E65:N68 E70:N70">
    <cfRule type="expression" dxfId="46" priority="13">
      <formula>IF(E$64&gt;$F$62,1,0)</formula>
    </cfRule>
  </conditionalFormatting>
  <conditionalFormatting sqref="E56:N60">
    <cfRule type="expression" dxfId="45" priority="12">
      <formula>IF(E$54&gt;$F$52,1,0)</formula>
    </cfRule>
  </conditionalFormatting>
  <conditionalFormatting sqref="E21:N26">
    <cfRule type="expression" dxfId="44" priority="11">
      <formula>IF(E$20&gt;$F$18,1,0)</formula>
    </cfRule>
  </conditionalFormatting>
  <conditionalFormatting sqref="E32:N36">
    <cfRule type="expression" dxfId="43" priority="10">
      <formula>IF(E$30&gt;$F$28,1,0)</formula>
    </cfRule>
  </conditionalFormatting>
  <conditionalFormatting sqref="H11 H8:H9">
    <cfRule type="expression" dxfId="42" priority="9">
      <formula>IF($F$9=1,1,0)</formula>
    </cfRule>
  </conditionalFormatting>
  <conditionalFormatting sqref="E55:N55">
    <cfRule type="expression" dxfId="41" priority="8">
      <formula>IF(E$54&gt;$F$52,1,0)</formula>
    </cfRule>
  </conditionalFormatting>
  <conditionalFormatting sqref="E31:N31">
    <cfRule type="expression" dxfId="40" priority="7">
      <formula>IF(E$30&gt;$F$28,1,0)</formula>
    </cfRule>
  </conditionalFormatting>
  <conditionalFormatting sqref="E70:N70">
    <cfRule type="expression" dxfId="39" priority="6">
      <formula>IF(E$64&lt;=$F$62,1,0)</formula>
    </cfRule>
  </conditionalFormatting>
  <conditionalFormatting sqref="H10">
    <cfRule type="expression" dxfId="38" priority="5">
      <formula>IF($F$9=1,1,0)</formula>
    </cfRule>
  </conditionalFormatting>
  <conditionalFormatting sqref="E69:N69">
    <cfRule type="expression" dxfId="37" priority="2">
      <formula>IF(E$64&lt;=$F$62,1,0)</formula>
    </cfRule>
  </conditionalFormatting>
  <conditionalFormatting sqref="E69:N69">
    <cfRule type="expression" dxfId="36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WEMAG Netz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Güstrow Umland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9870122800005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39083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388</v>
      </c>
      <c r="D15" s="343"/>
      <c r="E15" s="89" t="s">
        <v>449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492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364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5" priority="18">
      <formula>IF(E$20&lt;=$F$18,1,0)</formula>
    </cfRule>
  </conditionalFormatting>
  <conditionalFormatting sqref="E32:N36">
    <cfRule type="expression" dxfId="34" priority="17">
      <formula>IF(E$30&lt;=$F$28,1,0)</formula>
    </cfRule>
  </conditionalFormatting>
  <conditionalFormatting sqref="E26:F26">
    <cfRule type="expression" dxfId="33" priority="16">
      <formula>IF(E$20&lt;=$F$18,1,0)</formula>
    </cfRule>
  </conditionalFormatting>
  <conditionalFormatting sqref="E26:N26">
    <cfRule type="expression" dxfId="32" priority="15">
      <formula>IF(E$20&lt;=$F$18,1,0)</formula>
    </cfRule>
  </conditionalFormatting>
  <conditionalFormatting sqref="E56:N59">
    <cfRule type="expression" dxfId="31" priority="14">
      <formula>IF(E$54&lt;=$F$52,1,0)</formula>
    </cfRule>
  </conditionalFormatting>
  <conditionalFormatting sqref="E60:N60">
    <cfRule type="expression" dxfId="30" priority="13">
      <formula>IF(E$54&lt;=$F$52,1,0)</formula>
    </cfRule>
  </conditionalFormatting>
  <conditionalFormatting sqref="E66:N68">
    <cfRule type="expression" dxfId="29" priority="12">
      <formula>IF(E$64&lt;=$F$62,1,0)</formula>
    </cfRule>
  </conditionalFormatting>
  <conditionalFormatting sqref="E65:N68 E70:N70">
    <cfRule type="expression" dxfId="28" priority="11">
      <formula>IF(E$64&gt;$F$62,1,0)</formula>
    </cfRule>
  </conditionalFormatting>
  <conditionalFormatting sqref="E56:N60">
    <cfRule type="expression" dxfId="27" priority="10">
      <formula>IF(E$54&gt;$F$52,1,0)</formula>
    </cfRule>
  </conditionalFormatting>
  <conditionalFormatting sqref="E21:N26">
    <cfRule type="expression" dxfId="26" priority="9">
      <formula>IF(E$20&gt;$F$18,1,0)</formula>
    </cfRule>
  </conditionalFormatting>
  <conditionalFormatting sqref="E32:N36">
    <cfRule type="expression" dxfId="25" priority="8">
      <formula>IF(E$30&gt;$F$28,1,0)</formula>
    </cfRule>
  </conditionalFormatting>
  <conditionalFormatting sqref="H11 H8:H9">
    <cfRule type="expression" dxfId="24" priority="7">
      <formula>IF($F$9=1,1,0)</formula>
    </cfRule>
  </conditionalFormatting>
  <conditionalFormatting sqref="E55:N55">
    <cfRule type="expression" dxfId="23" priority="6">
      <formula>IF(E$54&gt;$F$52,1,0)</formula>
    </cfRule>
  </conditionalFormatting>
  <conditionalFormatting sqref="E31:N31">
    <cfRule type="expression" dxfId="22" priority="5">
      <formula>IF(E$30&gt;$F$28,1,0)</formula>
    </cfRule>
  </conditionalFormatting>
  <conditionalFormatting sqref="E70:N70">
    <cfRule type="expression" dxfId="21" priority="4">
      <formula>IF(E$64&lt;=$F$62,1,0)</formula>
    </cfRule>
  </conditionalFormatting>
  <conditionalFormatting sqref="H10">
    <cfRule type="expression" dxfId="20" priority="3">
      <formula>IF($F$9=1,1,0)</formula>
    </cfRule>
  </conditionalFormatting>
  <conditionalFormatting sqref="E69:N69">
    <cfRule type="expression" dxfId="19" priority="2">
      <formula>IF(E$64&lt;=$F$62,1,0)</formula>
    </cfRule>
  </conditionalFormatting>
  <conditionalFormatting sqref="E69:N69">
    <cfRule type="expression" dxfId="18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I3" sqref="I3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365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370</v>
      </c>
      <c r="D5" s="54" t="str">
        <f>Netzbetreiber!$D$9</f>
        <v>WEMAG Netz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338</v>
      </c>
      <c r="D6" s="54" t="str">
        <f>Netzbetreiber!$D$28</f>
        <v>Güstrow Umland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9870122800005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39083</v>
      </c>
      <c r="E8" s="129"/>
      <c r="F8" s="129"/>
      <c r="H8" s="127" t="s">
        <v>494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4" t="s">
        <v>643</v>
      </c>
    </row>
    <row r="11" spans="2:26" ht="15.75" thickBot="1">
      <c r="B11" s="138" t="s">
        <v>495</v>
      </c>
      <c r="C11" s="139" t="s">
        <v>506</v>
      </c>
      <c r="D11" s="293" t="s">
        <v>247</v>
      </c>
      <c r="E11" s="163" t="s">
        <v>670</v>
      </c>
      <c r="F11" s="295" t="str">
        <f>VLOOKUP($E11,'BDEW-Standard'!$B$3:$M$158,F$9,0)</f>
        <v>D13</v>
      </c>
      <c r="H11" s="166">
        <f>ROUND(VLOOKUP($E11,'BDEW-Standard'!$B$3:$M$158,H$9,0),7)</f>
        <v>3.0469694999999999</v>
      </c>
      <c r="I11" s="166">
        <f>ROUND(VLOOKUP($E11,'BDEW-Standard'!$B$3:$M$158,I$9,0),7)</f>
        <v>-37.183314099999997</v>
      </c>
      <c r="J11" s="166">
        <f>ROUND(VLOOKUP($E11,'BDEW-Standard'!$B$3:$M$158,J$9,0),7)</f>
        <v>5.6727847000000002</v>
      </c>
      <c r="K11" s="166">
        <f>ROUND(VLOOKUP($E11,'BDEW-Standard'!$B$3:$M$158,K$9,0),7)</f>
        <v>9.6193100000000004E-2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1.0075192723557669</v>
      </c>
      <c r="R11" s="167">
        <f>ROUND(VLOOKUP(MID($E11,4,3),'Wochentag F(WT)'!$B$7:$J$22,R$9,0),4)</f>
        <v>1</v>
      </c>
      <c r="S11" s="167">
        <f>ROUND(VLOOKUP(MID($E11,4,3),'Wochentag F(WT)'!$B$7:$J$22,S$9,0),4)</f>
        <v>1</v>
      </c>
      <c r="T11" s="167">
        <f>ROUND(VLOOKUP(MID($E11,4,3),'Wochentag F(WT)'!$B$7:$J$22,T$9,0),4)</f>
        <v>1</v>
      </c>
      <c r="U11" s="167">
        <f>ROUND(VLOOKUP(MID($E11,4,3),'Wochentag F(WT)'!$B$7:$J$22,U$9,0),4)</f>
        <v>1</v>
      </c>
      <c r="V11" s="167">
        <f>ROUND(VLOOKUP(MID($E11,4,3),'Wochentag F(WT)'!$B$7:$J$22,V$9,0),4)</f>
        <v>1</v>
      </c>
      <c r="W11" s="167">
        <f>ROUND(VLOOKUP(MID($E11,4,3),'Wochentag F(WT)'!$B$7:$J$22,W$9,0),4)</f>
        <v>1</v>
      </c>
      <c r="X11" s="168">
        <f>7-SUM(R11:W11)</f>
        <v>1</v>
      </c>
      <c r="Y11" s="291">
        <v>365.12299999999999</v>
      </c>
    </row>
    <row r="12" spans="2:26">
      <c r="B12" s="140">
        <v>1</v>
      </c>
      <c r="C12" s="141" t="str">
        <f t="shared" ref="C12:C41" si="0">$D$6</f>
        <v>Güstrow Umland</v>
      </c>
      <c r="D12" s="62" t="s">
        <v>247</v>
      </c>
      <c r="E12" s="164" t="s">
        <v>57</v>
      </c>
      <c r="F12" s="296" t="str">
        <f>VLOOKUP($E12,'BDEW-Standard'!$B$3:$M$158,F$9,0)</f>
        <v>V14</v>
      </c>
      <c r="H12" s="273">
        <f>ROUND(VLOOKUP($E12,'BDEW-Standard'!$B$3:$M$158,H$9,0),7)</f>
        <v>3.159294</v>
      </c>
      <c r="I12" s="273">
        <f>ROUND(VLOOKUP($E12,'BDEW-Standard'!$B$3:$M$158,I$9,0),7)</f>
        <v>-37.406886</v>
      </c>
      <c r="J12" s="273">
        <f>ROUND(VLOOKUP($E12,'BDEW-Standard'!$B$3:$M$158,J$9,0),7)</f>
        <v>6.1418926000000003</v>
      </c>
      <c r="K12" s="273">
        <f>ROUND(VLOOKUP($E12,'BDEW-Standard'!$B$3:$M$158,K$9,0),7)</f>
        <v>9.2168600000000003E-2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5" si="1">($H12/(1+($I12/($Q$9-$L12))^$J12)+$K12)+MAX($M12*$Q$9+$N12,$O12*$Q$9+$P12)</f>
        <v>0.96762600224521156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Güstrow Umland</v>
      </c>
      <c r="D13" s="62" t="s">
        <v>247</v>
      </c>
      <c r="E13" s="164" t="s">
        <v>67</v>
      </c>
      <c r="F13" s="296" t="str">
        <f>VLOOKUP($E13,'BDEW-Standard'!$B$3:$M$158,F$9,0)</f>
        <v>V24</v>
      </c>
      <c r="H13" s="273">
        <f>ROUND(VLOOKUP($E13,'BDEW-Standard'!$B$3:$M$158,H$9,0),7)</f>
        <v>2.4859160999999999</v>
      </c>
      <c r="I13" s="273">
        <f>ROUND(VLOOKUP($E13,'BDEW-Standard'!$B$3:$M$158,I$9,0),7)</f>
        <v>-35.043597800000001</v>
      </c>
      <c r="J13" s="273">
        <f>ROUND(VLOOKUP($E13,'BDEW-Standard'!$B$3:$M$158,J$9,0),7)</f>
        <v>6.2818214000000001</v>
      </c>
      <c r="K13" s="273">
        <f>ROUND(VLOOKUP($E13,'BDEW-Standard'!$B$3:$M$158,K$9,0),7)</f>
        <v>0.1282547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1.0258303127680664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5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Güstrow Umland</v>
      </c>
      <c r="D14" s="62" t="s">
        <v>247</v>
      </c>
      <c r="E14" s="164" t="s">
        <v>659</v>
      </c>
      <c r="F14" s="296" t="str">
        <f>VLOOKUP($E14,'BDEW-Standard'!$B$3:$M$158,F$9,0)</f>
        <v>BA4</v>
      </c>
      <c r="H14" s="273">
        <f>ROUND(VLOOKUP($E14,'BDEW-Standard'!$B$3:$M$158,H$9,0),7)</f>
        <v>0.93158890000000005</v>
      </c>
      <c r="I14" s="273">
        <f>ROUND(VLOOKUP($E14,'BDEW-Standard'!$B$3:$M$158,I$9,0),7)</f>
        <v>-33.35</v>
      </c>
      <c r="J14" s="273">
        <f>ROUND(VLOOKUP($E14,'BDEW-Standard'!$B$3:$M$158,J$9,0),7)</f>
        <v>5.7212303000000002</v>
      </c>
      <c r="K14" s="273">
        <f>ROUND(VLOOKUP($E14,'BDEW-Standard'!$B$3:$M$158,K$9,0),7)</f>
        <v>0.66564939999999995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1.0766391850538448</v>
      </c>
      <c r="R14" s="274">
        <f>ROUND(VLOOKUP(MID($E14,4,3),'Wochentag F(WT)'!$B$7:$J$22,R$9,0),4)</f>
        <v>1.0848</v>
      </c>
      <c r="S14" s="274">
        <f>ROUND(VLOOKUP(MID($E14,4,3),'Wochentag F(WT)'!$B$7:$J$22,S$9,0),4)</f>
        <v>1.1211</v>
      </c>
      <c r="T14" s="274">
        <f>ROUND(VLOOKUP(MID($E14,4,3),'Wochentag F(WT)'!$B$7:$J$22,T$9,0),4)</f>
        <v>1.0769</v>
      </c>
      <c r="U14" s="274">
        <f>ROUND(VLOOKUP(MID($E14,4,3),'Wochentag F(WT)'!$B$7:$J$22,U$9,0),4)</f>
        <v>1.1353</v>
      </c>
      <c r="V14" s="274">
        <f>ROUND(VLOOKUP(MID($E14,4,3),'Wochentag F(WT)'!$B$7:$J$22,V$9,0),4)</f>
        <v>1.1402000000000001</v>
      </c>
      <c r="W14" s="274">
        <f>ROUND(VLOOKUP(MID($E14,4,3),'Wochentag F(WT)'!$B$7:$J$22,W$9,0),4)</f>
        <v>0.48520000000000002</v>
      </c>
      <c r="X14" s="275">
        <f t="shared" si="2"/>
        <v>0.95650000000000013</v>
      </c>
      <c r="Y14" s="292"/>
      <c r="Z14" s="210"/>
    </row>
    <row r="15" spans="2:26" s="142" customFormat="1">
      <c r="B15" s="143">
        <v>4</v>
      </c>
      <c r="C15" s="144" t="str">
        <f t="shared" si="0"/>
        <v>Güstrow Umland</v>
      </c>
      <c r="D15" s="62" t="s">
        <v>247</v>
      </c>
      <c r="E15" s="164" t="s">
        <v>660</v>
      </c>
      <c r="F15" s="296" t="str">
        <f>VLOOKUP($E15,'BDEW-Standard'!$B$3:$M$158,F$9,0)</f>
        <v>BD4</v>
      </c>
      <c r="H15" s="273">
        <f>ROUND(VLOOKUP($E15,'BDEW-Standard'!$B$3:$M$158,H$9,0),7)</f>
        <v>3.75</v>
      </c>
      <c r="I15" s="273">
        <f>ROUND(VLOOKUP($E15,'BDEW-Standard'!$B$3:$M$158,I$9,0),7)</f>
        <v>-37.5</v>
      </c>
      <c r="J15" s="273">
        <f>ROUND(VLOOKUP($E15,'BDEW-Standard'!$B$3:$M$158,J$9,0),7)</f>
        <v>6.8</v>
      </c>
      <c r="K15" s="273">
        <f>ROUND(VLOOKUP($E15,'BDEW-Standard'!$B$3:$M$158,K$9,0),7)</f>
        <v>6.0911300000000002E-2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1.0126136468627658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2"/>
        <v>0.91959999999999997</v>
      </c>
      <c r="Y15" s="292"/>
      <c r="Z15" s="210"/>
    </row>
    <row r="16" spans="2:26" s="142" customFormat="1">
      <c r="B16" s="143">
        <v>5</v>
      </c>
      <c r="C16" s="144" t="str">
        <f t="shared" si="0"/>
        <v>Güstrow Umland</v>
      </c>
      <c r="D16" s="62" t="s">
        <v>247</v>
      </c>
      <c r="E16" s="164" t="s">
        <v>661</v>
      </c>
      <c r="F16" s="296" t="str">
        <f>VLOOKUP($E16,'BDEW-Standard'!$B$3:$M$158,F$9,0)</f>
        <v>BH4</v>
      </c>
      <c r="H16" s="273">
        <f>ROUND(VLOOKUP($E16,'BDEW-Standard'!$B$3:$M$158,H$9,0),7)</f>
        <v>2.4595180999999999</v>
      </c>
      <c r="I16" s="273">
        <f>ROUND(VLOOKUP($E16,'BDEW-Standard'!$B$3:$M$158,I$9,0),7)</f>
        <v>-35.253212400000002</v>
      </c>
      <c r="J16" s="273">
        <f>ROUND(VLOOKUP($E16,'BDEW-Standard'!$B$3:$M$158,J$9,0),7)</f>
        <v>6.0587001000000003</v>
      </c>
      <c r="K16" s="273">
        <f>ROUND(VLOOKUP($E16,'BDEW-Standard'!$B$3:$M$158,K$9,0),7)</f>
        <v>0.16473699999999999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1.043802057143173</v>
      </c>
      <c r="R16" s="274">
        <f>ROUND(VLOOKUP(MID($E16,4,3),'Wochentag F(WT)'!$B$7:$J$22,R$9,0),4)</f>
        <v>0.97670000000000001</v>
      </c>
      <c r="S16" s="274">
        <f>ROUND(VLOOKUP(MID($E16,4,3),'Wochentag F(WT)'!$B$7:$J$22,S$9,0),4)</f>
        <v>1.0388999999999999</v>
      </c>
      <c r="T16" s="274">
        <f>ROUND(VLOOKUP(MID($E16,4,3),'Wochentag F(WT)'!$B$7:$J$22,T$9,0),4)</f>
        <v>1.0027999999999999</v>
      </c>
      <c r="U16" s="274">
        <f>ROUND(VLOOKUP(MID($E16,4,3),'Wochentag F(WT)'!$B$7:$J$22,U$9,0),4)</f>
        <v>1.0162</v>
      </c>
      <c r="V16" s="274">
        <f>ROUND(VLOOKUP(MID($E16,4,3),'Wochentag F(WT)'!$B$7:$J$22,V$9,0),4)</f>
        <v>1.0024</v>
      </c>
      <c r="W16" s="274">
        <f>ROUND(VLOOKUP(MID($E16,4,3),'Wochentag F(WT)'!$B$7:$J$22,W$9,0),4)</f>
        <v>1.0043</v>
      </c>
      <c r="X16" s="275">
        <f t="shared" si="2"/>
        <v>0.95870000000000122</v>
      </c>
      <c r="Y16" s="292"/>
      <c r="Z16" s="210"/>
    </row>
    <row r="17" spans="2:26" s="142" customFormat="1">
      <c r="B17" s="143">
        <v>6</v>
      </c>
      <c r="C17" s="144" t="str">
        <f t="shared" si="0"/>
        <v>Güstrow Umland</v>
      </c>
      <c r="D17" s="62" t="s">
        <v>247</v>
      </c>
      <c r="E17" s="164" t="s">
        <v>662</v>
      </c>
      <c r="F17" s="296" t="str">
        <f>VLOOKUP($E17,'BDEW-Standard'!$B$3:$M$158,F$9,0)</f>
        <v>GA4</v>
      </c>
      <c r="H17" s="273">
        <f>ROUND(VLOOKUP($E17,'BDEW-Standard'!$B$3:$M$158,H$9,0),7)</f>
        <v>2.8195655999999998</v>
      </c>
      <c r="I17" s="273">
        <f>ROUND(VLOOKUP($E17,'BDEW-Standard'!$B$3:$M$158,I$9,0),7)</f>
        <v>-36</v>
      </c>
      <c r="J17" s="273">
        <f>ROUND(VLOOKUP($E17,'BDEW-Standard'!$B$3:$M$158,J$9,0),7)</f>
        <v>7.7368518000000002</v>
      </c>
      <c r="K17" s="273">
        <f>ROUND(VLOOKUP($E17,'BDEW-Standard'!$B$3:$M$158,K$9,0),7)</f>
        <v>0.157281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0.96576337685759206</v>
      </c>
      <c r="R17" s="274">
        <f>ROUND(VLOOKUP(MID($E17,4,3),'Wochentag F(WT)'!$B$7:$J$22,R$9,0),4)</f>
        <v>0.93220000000000003</v>
      </c>
      <c r="S17" s="274">
        <f>ROUND(VLOOKUP(MID($E17,4,3),'Wochentag F(WT)'!$B$7:$J$22,S$9,0),4)</f>
        <v>0.98939999999999995</v>
      </c>
      <c r="T17" s="274">
        <f>ROUND(VLOOKUP(MID($E17,4,3),'Wochentag F(WT)'!$B$7:$J$22,T$9,0),4)</f>
        <v>1.0033000000000001</v>
      </c>
      <c r="U17" s="274">
        <f>ROUND(VLOOKUP(MID($E17,4,3),'Wochentag F(WT)'!$B$7:$J$22,U$9,0),4)</f>
        <v>1.0108999999999999</v>
      </c>
      <c r="V17" s="274">
        <f>ROUND(VLOOKUP(MID($E17,4,3),'Wochentag F(WT)'!$B$7:$J$22,V$9,0),4)</f>
        <v>1.018</v>
      </c>
      <c r="W17" s="274">
        <f>ROUND(VLOOKUP(MID($E17,4,3),'Wochentag F(WT)'!$B$7:$J$22,W$9,0),4)</f>
        <v>1.0356000000000001</v>
      </c>
      <c r="X17" s="275">
        <f t="shared" si="2"/>
        <v>1.0106000000000002</v>
      </c>
      <c r="Y17" s="292"/>
      <c r="Z17" s="210"/>
    </row>
    <row r="18" spans="2:26" s="142" customFormat="1">
      <c r="B18" s="143">
        <v>7</v>
      </c>
      <c r="C18" s="144" t="str">
        <f t="shared" si="0"/>
        <v>Güstrow Umland</v>
      </c>
      <c r="D18" s="62" t="s">
        <v>247</v>
      </c>
      <c r="E18" s="164" t="s">
        <v>663</v>
      </c>
      <c r="F18" s="296" t="str">
        <f>VLOOKUP($E18,'BDEW-Standard'!$B$3:$M$158,F$9,0)</f>
        <v>GB4</v>
      </c>
      <c r="H18" s="273">
        <f>ROUND(VLOOKUP($E18,'BDEW-Standard'!$B$3:$M$158,H$9,0),7)</f>
        <v>3.6017736</v>
      </c>
      <c r="I18" s="273">
        <f>ROUND(VLOOKUP($E18,'BDEW-Standard'!$B$3:$M$158,I$9,0),7)</f>
        <v>-37.882536799999997</v>
      </c>
      <c r="J18" s="273">
        <f>ROUND(VLOOKUP($E18,'BDEW-Standard'!$B$3:$M$158,J$9,0),7)</f>
        <v>6.9836070000000001</v>
      </c>
      <c r="K18" s="273">
        <f>ROUND(VLOOKUP($E18,'BDEW-Standard'!$B$3:$M$158,K$9,0),7)</f>
        <v>5.4826199999999999E-2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0.90239375975311864</v>
      </c>
      <c r="R18" s="274">
        <f>ROUND(VLOOKUP(MID($E18,4,3),'Wochentag F(WT)'!$B$7:$J$22,R$9,0),4)</f>
        <v>0.98970000000000002</v>
      </c>
      <c r="S18" s="274">
        <f>ROUND(VLOOKUP(MID($E18,4,3),'Wochentag F(WT)'!$B$7:$J$22,S$9,0),4)</f>
        <v>0.9627</v>
      </c>
      <c r="T18" s="274">
        <f>ROUND(VLOOKUP(MID($E18,4,3),'Wochentag F(WT)'!$B$7:$J$22,T$9,0),4)</f>
        <v>1.0507</v>
      </c>
      <c r="U18" s="274">
        <f>ROUND(VLOOKUP(MID($E18,4,3),'Wochentag F(WT)'!$B$7:$J$22,U$9,0),4)</f>
        <v>1.0551999999999999</v>
      </c>
      <c r="V18" s="274">
        <f>ROUND(VLOOKUP(MID($E18,4,3),'Wochentag F(WT)'!$B$7:$J$22,V$9,0),4)</f>
        <v>1.0297000000000001</v>
      </c>
      <c r="W18" s="274">
        <f>ROUND(VLOOKUP(MID($E18,4,3),'Wochentag F(WT)'!$B$7:$J$22,W$9,0),4)</f>
        <v>0.97670000000000001</v>
      </c>
      <c r="X18" s="275">
        <f t="shared" si="2"/>
        <v>0.9352999999999998</v>
      </c>
      <c r="Y18" s="292"/>
      <c r="Z18" s="210"/>
    </row>
    <row r="19" spans="2:26" s="142" customFormat="1">
      <c r="B19" s="143">
        <v>8</v>
      </c>
      <c r="C19" s="144" t="str">
        <f t="shared" si="0"/>
        <v>Güstrow Umland</v>
      </c>
      <c r="D19" s="62" t="s">
        <v>247</v>
      </c>
      <c r="E19" s="164" t="s">
        <v>664</v>
      </c>
      <c r="F19" s="296" t="str">
        <f>VLOOKUP($E19,'BDEW-Standard'!$B$3:$M$158,F$9,0)</f>
        <v>HA4</v>
      </c>
      <c r="H19" s="273">
        <f>ROUND(VLOOKUP($E19,'BDEW-Standard'!$B$3:$M$158,H$9,0),7)</f>
        <v>4.0196902000000003</v>
      </c>
      <c r="I19" s="273">
        <f>ROUND(VLOOKUP($E19,'BDEW-Standard'!$B$3:$M$158,I$9,0),7)</f>
        <v>-37.828203700000003</v>
      </c>
      <c r="J19" s="273">
        <f>ROUND(VLOOKUP($E19,'BDEW-Standard'!$B$3:$M$158,J$9,0),7)</f>
        <v>8.1593368999999996</v>
      </c>
      <c r="K19" s="273">
        <f>ROUND(VLOOKUP($E19,'BDEW-Standard'!$B$3:$M$158,K$9,0),7)</f>
        <v>4.72845E-2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0.86486713303260787</v>
      </c>
      <c r="R19" s="274">
        <f>ROUND(VLOOKUP(MID($E19,4,3),'Wochentag F(WT)'!$B$7:$J$22,R$9,0),4)</f>
        <v>1.0358000000000001</v>
      </c>
      <c r="S19" s="274">
        <f>ROUND(VLOOKUP(MID($E19,4,3),'Wochentag F(WT)'!$B$7:$J$22,S$9,0),4)</f>
        <v>1.0232000000000001</v>
      </c>
      <c r="T19" s="274">
        <f>ROUND(VLOOKUP(MID($E19,4,3),'Wochentag F(WT)'!$B$7:$J$22,T$9,0),4)</f>
        <v>1.0251999999999999</v>
      </c>
      <c r="U19" s="274">
        <f>ROUND(VLOOKUP(MID($E19,4,3),'Wochentag F(WT)'!$B$7:$J$22,U$9,0),4)</f>
        <v>1.0295000000000001</v>
      </c>
      <c r="V19" s="274">
        <f>ROUND(VLOOKUP(MID($E19,4,3),'Wochentag F(WT)'!$B$7:$J$22,V$9,0),4)</f>
        <v>1.0253000000000001</v>
      </c>
      <c r="W19" s="274">
        <f>ROUND(VLOOKUP(MID($E19,4,3),'Wochentag F(WT)'!$B$7:$J$22,W$9,0),4)</f>
        <v>0.96750000000000003</v>
      </c>
      <c r="X19" s="275">
        <f t="shared" si="2"/>
        <v>0.89350000000000041</v>
      </c>
      <c r="Y19" s="292"/>
      <c r="Z19" s="210"/>
    </row>
    <row r="20" spans="2:26" s="142" customFormat="1">
      <c r="B20" s="143">
        <v>9</v>
      </c>
      <c r="C20" s="144" t="str">
        <f t="shared" si="0"/>
        <v>Güstrow Umland</v>
      </c>
      <c r="D20" s="62" t="s">
        <v>247</v>
      </c>
      <c r="E20" s="164" t="s">
        <v>665</v>
      </c>
      <c r="F20" s="296" t="str">
        <f>VLOOKUP($E20,'BDEW-Standard'!$B$3:$M$158,F$9,0)</f>
        <v>KO4</v>
      </c>
      <c r="H20" s="273">
        <f>ROUND(VLOOKUP($E20,'BDEW-Standard'!$B$3:$M$158,H$9,0),7)</f>
        <v>3.4428942999999999</v>
      </c>
      <c r="I20" s="273">
        <f>ROUND(VLOOKUP($E20,'BDEW-Standard'!$B$3:$M$158,I$9,0),7)</f>
        <v>-36.659050399999998</v>
      </c>
      <c r="J20" s="273">
        <f>ROUND(VLOOKUP($E20,'BDEW-Standard'!$B$3:$M$158,J$9,0),7)</f>
        <v>7.6083226000000002</v>
      </c>
      <c r="K20" s="273">
        <f>ROUND(VLOOKUP($E20,'BDEW-Standard'!$B$3:$M$158,K$9,0),7)</f>
        <v>7.4685000000000001E-2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0.97768382110526542</v>
      </c>
      <c r="R20" s="274">
        <f>ROUND(VLOOKUP(MID($E20,4,3),'Wochentag F(WT)'!$B$7:$J$22,R$9,0),4)</f>
        <v>1.0354000000000001</v>
      </c>
      <c r="S20" s="274">
        <f>ROUND(VLOOKUP(MID($E20,4,3),'Wochentag F(WT)'!$B$7:$J$22,S$9,0),4)</f>
        <v>1.0523</v>
      </c>
      <c r="T20" s="274">
        <f>ROUND(VLOOKUP(MID($E20,4,3),'Wochentag F(WT)'!$B$7:$J$22,T$9,0),4)</f>
        <v>1.0448999999999999</v>
      </c>
      <c r="U20" s="274">
        <f>ROUND(VLOOKUP(MID($E20,4,3),'Wochentag F(WT)'!$B$7:$J$22,U$9,0),4)</f>
        <v>1.0494000000000001</v>
      </c>
      <c r="V20" s="274">
        <f>ROUND(VLOOKUP(MID($E20,4,3),'Wochentag F(WT)'!$B$7:$J$22,V$9,0),4)</f>
        <v>0.98850000000000005</v>
      </c>
      <c r="W20" s="274">
        <f>ROUND(VLOOKUP(MID($E20,4,3),'Wochentag F(WT)'!$B$7:$J$22,W$9,0),4)</f>
        <v>0.88600000000000001</v>
      </c>
      <c r="X20" s="275">
        <f t="shared" si="2"/>
        <v>0.94349999999999934</v>
      </c>
      <c r="Y20" s="292"/>
      <c r="Z20" s="210"/>
    </row>
    <row r="21" spans="2:26" s="142" customFormat="1">
      <c r="B21" s="143">
        <v>10</v>
      </c>
      <c r="C21" s="144" t="str">
        <f t="shared" si="0"/>
        <v>Güstrow Umland</v>
      </c>
      <c r="D21" s="62" t="s">
        <v>247</v>
      </c>
      <c r="E21" s="164" t="s">
        <v>666</v>
      </c>
      <c r="F21" s="296" t="str">
        <f>VLOOKUP($E21,'BDEW-Standard'!$B$3:$M$158,F$9,0)</f>
        <v>MF4</v>
      </c>
      <c r="H21" s="273">
        <f>ROUND(VLOOKUP($E21,'BDEW-Standard'!$B$3:$M$158,H$9,0),7)</f>
        <v>2.5187775000000001</v>
      </c>
      <c r="I21" s="273">
        <f>ROUND(VLOOKUP($E21,'BDEW-Standard'!$B$3:$M$158,I$9,0),7)</f>
        <v>-35.033375399999997</v>
      </c>
      <c r="J21" s="273">
        <f>ROUND(VLOOKUP($E21,'BDEW-Standard'!$B$3:$M$158,J$9,0),7)</f>
        <v>6.2240634000000004</v>
      </c>
      <c r="K21" s="273">
        <f>ROUND(VLOOKUP($E21,'BDEW-Standard'!$B$3:$M$158,K$9,0),7)</f>
        <v>0.10107820000000001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1.0146273685996503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92"/>
      <c r="Z21" s="210"/>
    </row>
    <row r="22" spans="2:26" s="142" customFormat="1">
      <c r="B22" s="143">
        <v>11</v>
      </c>
      <c r="C22" s="144" t="str">
        <f t="shared" si="0"/>
        <v>Güstrow Umland</v>
      </c>
      <c r="D22" s="62" t="s">
        <v>247</v>
      </c>
      <c r="E22" s="164" t="s">
        <v>667</v>
      </c>
      <c r="F22" s="296" t="str">
        <f>VLOOKUP($E22,'BDEW-Standard'!$B$3:$M$158,F$9,0)</f>
        <v>MK4</v>
      </c>
      <c r="H22" s="273">
        <f>ROUND(VLOOKUP($E22,'BDEW-Standard'!$B$3:$M$158,H$9,0),7)</f>
        <v>3.1177248</v>
      </c>
      <c r="I22" s="273">
        <f>ROUND(VLOOKUP($E22,'BDEW-Standard'!$B$3:$M$158,I$9,0),7)</f>
        <v>-35.871506199999999</v>
      </c>
      <c r="J22" s="273">
        <f>ROUND(VLOOKUP($E22,'BDEW-Standard'!$B$3:$M$158,J$9,0),7)</f>
        <v>7.5186828999999999</v>
      </c>
      <c r="K22" s="273">
        <f>ROUND(VLOOKUP($E22,'BDEW-Standard'!$B$3:$M$158,K$9,0),7)</f>
        <v>3.4330100000000002E-2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0.9622064996731321</v>
      </c>
      <c r="R22" s="274">
        <f>ROUND(VLOOKUP(MID($E22,4,3),'Wochentag F(WT)'!$B$7:$J$22,R$9,0),4)</f>
        <v>1.0699000000000001</v>
      </c>
      <c r="S22" s="274">
        <f>ROUND(VLOOKUP(MID($E22,4,3),'Wochentag F(WT)'!$B$7:$J$22,S$9,0),4)</f>
        <v>1.0365</v>
      </c>
      <c r="T22" s="274">
        <f>ROUND(VLOOKUP(MID($E22,4,3),'Wochentag F(WT)'!$B$7:$J$22,T$9,0),4)</f>
        <v>0.99329999999999996</v>
      </c>
      <c r="U22" s="274">
        <f>ROUND(VLOOKUP(MID($E22,4,3),'Wochentag F(WT)'!$B$7:$J$22,U$9,0),4)</f>
        <v>0.99480000000000002</v>
      </c>
      <c r="V22" s="274">
        <f>ROUND(VLOOKUP(MID($E22,4,3),'Wochentag F(WT)'!$B$7:$J$22,V$9,0),4)</f>
        <v>1.0659000000000001</v>
      </c>
      <c r="W22" s="274">
        <f>ROUND(VLOOKUP(MID($E22,4,3),'Wochentag F(WT)'!$B$7:$J$22,W$9,0),4)</f>
        <v>0.93620000000000003</v>
      </c>
      <c r="X22" s="275">
        <f t="shared" si="2"/>
        <v>0.90339999999999954</v>
      </c>
      <c r="Y22" s="292"/>
      <c r="Z22" s="210"/>
    </row>
    <row r="23" spans="2:26" s="142" customFormat="1">
      <c r="B23" s="143">
        <v>12</v>
      </c>
      <c r="C23" s="144" t="str">
        <f t="shared" si="0"/>
        <v>Güstrow Umland</v>
      </c>
      <c r="D23" s="62" t="s">
        <v>247</v>
      </c>
      <c r="E23" s="164" t="s">
        <v>668</v>
      </c>
      <c r="F23" s="296" t="str">
        <f>VLOOKUP($E23,'BDEW-Standard'!$B$3:$M$158,F$9,0)</f>
        <v>PD4</v>
      </c>
      <c r="H23" s="273">
        <f>ROUND(VLOOKUP($E23,'BDEW-Standard'!$B$3:$M$158,H$9,0),7)</f>
        <v>3.85</v>
      </c>
      <c r="I23" s="273">
        <f>ROUND(VLOOKUP($E23,'BDEW-Standard'!$B$3:$M$158,I$9,0),7)</f>
        <v>-37</v>
      </c>
      <c r="J23" s="273">
        <f>ROUND(VLOOKUP($E23,'BDEW-Standard'!$B$3:$M$158,J$9,0),7)</f>
        <v>10.2405021</v>
      </c>
      <c r="K23" s="273">
        <f>ROUND(VLOOKUP($E23,'BDEW-Standard'!$B$3:$M$158,K$9,0),7)</f>
        <v>4.6924300000000002E-2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0.75691065279879233</v>
      </c>
      <c r="R23" s="274">
        <f>ROUND(VLOOKUP(MID($E23,4,3),'Wochentag F(WT)'!$B$7:$J$22,R$9,0),4)</f>
        <v>1.0214000000000001</v>
      </c>
      <c r="S23" s="274">
        <f>ROUND(VLOOKUP(MID($E23,4,3),'Wochentag F(WT)'!$B$7:$J$22,S$9,0),4)</f>
        <v>1.0866</v>
      </c>
      <c r="T23" s="274">
        <f>ROUND(VLOOKUP(MID($E23,4,3),'Wochentag F(WT)'!$B$7:$J$22,T$9,0),4)</f>
        <v>1.0720000000000001</v>
      </c>
      <c r="U23" s="274">
        <f>ROUND(VLOOKUP(MID($E23,4,3),'Wochentag F(WT)'!$B$7:$J$22,U$9,0),4)</f>
        <v>1.0557000000000001</v>
      </c>
      <c r="V23" s="274">
        <f>ROUND(VLOOKUP(MID($E23,4,3),'Wochentag F(WT)'!$B$7:$J$22,V$9,0),4)</f>
        <v>1.0117</v>
      </c>
      <c r="W23" s="274">
        <f>ROUND(VLOOKUP(MID($E23,4,3),'Wochentag F(WT)'!$B$7:$J$22,W$9,0),4)</f>
        <v>0.90010000000000001</v>
      </c>
      <c r="X23" s="275">
        <f t="shared" si="2"/>
        <v>0.85249999999999915</v>
      </c>
      <c r="Y23" s="292"/>
      <c r="Z23" s="210"/>
    </row>
    <row r="24" spans="2:26" s="142" customFormat="1">
      <c r="B24" s="143">
        <v>13</v>
      </c>
      <c r="C24" s="144" t="str">
        <f t="shared" si="0"/>
        <v>Güstrow Umland</v>
      </c>
      <c r="D24" s="62" t="s">
        <v>247</v>
      </c>
      <c r="E24" s="164" t="s">
        <v>669</v>
      </c>
      <c r="F24" s="296" t="str">
        <f>VLOOKUP($E24,'BDEW-Standard'!$B$3:$M$158,F$9,0)</f>
        <v>WA4</v>
      </c>
      <c r="H24" s="273">
        <f>ROUND(VLOOKUP($E24,'BDEW-Standard'!$B$3:$M$158,H$9,0),7)</f>
        <v>1.0535874999999999</v>
      </c>
      <c r="I24" s="273">
        <f>ROUND(VLOOKUP($E24,'BDEW-Standard'!$B$3:$M$158,I$9,0),7)</f>
        <v>-35.299999999999997</v>
      </c>
      <c r="J24" s="273">
        <f>ROUND(VLOOKUP($E24,'BDEW-Standard'!$B$3:$M$158,J$9,0),7)</f>
        <v>4.8662747</v>
      </c>
      <c r="K24" s="273">
        <f>ROUND(VLOOKUP($E24,'BDEW-Standard'!$B$3:$M$158,K$9,0),7)</f>
        <v>0.68110420000000005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1.0844348950990992</v>
      </c>
      <c r="R24" s="274">
        <f>ROUND(VLOOKUP(MID($E24,4,3),'Wochentag F(WT)'!$B$7:$J$22,R$9,0),4)</f>
        <v>1.2457</v>
      </c>
      <c r="S24" s="274">
        <f>ROUND(VLOOKUP(MID($E24,4,3),'Wochentag F(WT)'!$B$7:$J$22,S$9,0),4)</f>
        <v>1.2615000000000001</v>
      </c>
      <c r="T24" s="274">
        <f>ROUND(VLOOKUP(MID($E24,4,3),'Wochentag F(WT)'!$B$7:$J$22,T$9,0),4)</f>
        <v>1.2706999999999999</v>
      </c>
      <c r="U24" s="274">
        <f>ROUND(VLOOKUP(MID($E24,4,3),'Wochentag F(WT)'!$B$7:$J$22,U$9,0),4)</f>
        <v>1.2430000000000001</v>
      </c>
      <c r="V24" s="274">
        <f>ROUND(VLOOKUP(MID($E24,4,3),'Wochentag F(WT)'!$B$7:$J$22,V$9,0),4)</f>
        <v>1.1275999999999999</v>
      </c>
      <c r="W24" s="274">
        <f>ROUND(VLOOKUP(MID($E24,4,3),'Wochentag F(WT)'!$B$7:$J$22,W$9,0),4)</f>
        <v>0.38769999999999999</v>
      </c>
      <c r="X24" s="275">
        <f t="shared" si="2"/>
        <v>0.46379999999999999</v>
      </c>
      <c r="Y24" s="292"/>
      <c r="Z24" s="210"/>
    </row>
    <row r="25" spans="2:26" s="142" customFormat="1">
      <c r="B25" s="143">
        <v>14</v>
      </c>
      <c r="C25" s="144" t="str">
        <f t="shared" si="0"/>
        <v>Güstrow Umland</v>
      </c>
      <c r="D25" s="62" t="s">
        <v>247</v>
      </c>
      <c r="E25" s="164" t="s">
        <v>4</v>
      </c>
      <c r="F25" s="296" t="str">
        <f>VLOOKUP($E25,'BDEW-Standard'!$B$3:$M$158,F$9,0)</f>
        <v>HK3</v>
      </c>
      <c r="H25" s="273">
        <f>ROUND(VLOOKUP($E25,'BDEW-Standard'!$B$3:$M$158,H$9,0),7)</f>
        <v>0.40409319999999999</v>
      </c>
      <c r="I25" s="273">
        <f>ROUND(VLOOKUP($E25,'BDEW-Standard'!$B$3:$M$158,I$9,0),7)</f>
        <v>-24.439296800000001</v>
      </c>
      <c r="J25" s="273">
        <f>ROUND(VLOOKUP($E25,'BDEW-Standard'!$B$3:$M$158,J$9,0),7)</f>
        <v>6.5718174999999999</v>
      </c>
      <c r="K25" s="273">
        <f>ROUND(VLOOKUP($E25,'BDEW-Standard'!$B$3:$M$158,K$9,0),7)</f>
        <v>0.71077100000000004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1.0561214000512988</v>
      </c>
      <c r="R25" s="274">
        <f>ROUND(VLOOKUP(MID($E25,4,3),'Wochentag F(WT)'!$B$7:$J$22,R$9,0),4)</f>
        <v>1</v>
      </c>
      <c r="S25" s="274">
        <f>ROUND(VLOOKUP(MID($E25,4,3),'Wochentag F(WT)'!$B$7:$J$22,S$9,0),4)</f>
        <v>1</v>
      </c>
      <c r="T25" s="274">
        <f>ROUND(VLOOKUP(MID($E25,4,3),'Wochentag F(WT)'!$B$7:$J$22,T$9,0),4)</f>
        <v>1</v>
      </c>
      <c r="U25" s="274">
        <f>ROUND(VLOOKUP(MID($E25,4,3),'Wochentag F(WT)'!$B$7:$J$22,U$9,0),4)</f>
        <v>1</v>
      </c>
      <c r="V25" s="274">
        <f>ROUND(VLOOKUP(MID($E25,4,3),'Wochentag F(WT)'!$B$7:$J$22,V$9,0),4)</f>
        <v>1</v>
      </c>
      <c r="W25" s="274">
        <f>ROUND(VLOOKUP(MID($E25,4,3),'Wochentag F(WT)'!$B$7:$J$22,W$9,0),4)</f>
        <v>1</v>
      </c>
      <c r="X25" s="275">
        <f t="shared" si="2"/>
        <v>1</v>
      </c>
      <c r="Y25" s="292"/>
      <c r="Z25" s="210"/>
    </row>
    <row r="26" spans="2:26" s="142" customFormat="1">
      <c r="B26" s="143">
        <v>15</v>
      </c>
      <c r="C26" s="144" t="str">
        <f t="shared" si="0"/>
        <v>Güstrow Umland</v>
      </c>
      <c r="D26" s="62"/>
      <c r="E26" s="165"/>
      <c r="F26" s="296"/>
      <c r="H26" s="276"/>
      <c r="I26" s="276"/>
      <c r="J26" s="276"/>
      <c r="K26" s="276"/>
      <c r="L26" s="337"/>
      <c r="M26" s="276"/>
      <c r="N26" s="276"/>
      <c r="O26" s="276"/>
      <c r="P26" s="276"/>
      <c r="Q26" s="339"/>
      <c r="R26" s="277"/>
      <c r="S26" s="277"/>
      <c r="T26" s="277"/>
      <c r="U26" s="277"/>
      <c r="V26" s="277"/>
      <c r="W26" s="277"/>
      <c r="X26" s="278"/>
      <c r="Y26" s="292"/>
      <c r="Z26" s="210"/>
    </row>
    <row r="27" spans="2:26" s="142" customFormat="1">
      <c r="B27" s="143">
        <v>16</v>
      </c>
      <c r="C27" s="144" t="str">
        <f t="shared" si="0"/>
        <v>Güstrow Umland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Güstrow Umland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Güstrow Umland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Güstrow Umland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Güstrow Umland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Güstrow Umland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Güstrow Umland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Güstrow Umland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Güstrow Umland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Güstrow Umland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Güstrow Umland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Güstrow Umland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Güstrow Umland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Güstrow Umland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Güstrow Umland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25 H11:K25 M11:P25 R11:Y25 R27:Y41 M27:P41 H27:K41 F27:F41">
    <cfRule type="expression" dxfId="17" priority="17">
      <formula>ISERROR(F11)</formula>
    </cfRule>
  </conditionalFormatting>
  <conditionalFormatting sqref="Y12:Y25 E12:F25 E27:F41 Y27:Y41">
    <cfRule type="duplicateValues" dxfId="16" priority="39"/>
  </conditionalFormatting>
  <conditionalFormatting sqref="L11:L25 L27:L41">
    <cfRule type="expression" dxfId="15" priority="8">
      <formula>ISERROR(L11)</formula>
    </cfRule>
  </conditionalFormatting>
  <conditionalFormatting sqref="Q11:Q25 Q27:Q41">
    <cfRule type="expression" dxfId="14" priority="7">
      <formula>ISERROR(Q11)</formula>
    </cfRule>
  </conditionalFormatting>
  <conditionalFormatting sqref="R26:Y26 M26:P26 H26:K26 F26">
    <cfRule type="expression" dxfId="13" priority="4">
      <formula>ISERROR(F26)</formula>
    </cfRule>
  </conditionalFormatting>
  <conditionalFormatting sqref="E26:F26 Y26">
    <cfRule type="duplicateValues" dxfId="12" priority="6"/>
  </conditionalFormatting>
  <conditionalFormatting sqref="L26">
    <cfRule type="expression" dxfId="11" priority="2">
      <formula>ISERROR(L26)</formula>
    </cfRule>
  </conditionalFormatting>
  <conditionalFormatting sqref="Q26">
    <cfRule type="expression" dxfId="10" priority="1">
      <formula>ISERROR(Q26)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5 F12:P2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D11:D25 D27:D41</xm:sqref>
        </x14:conditionalFormatting>
        <x14:conditionalFormatting xmlns:xm="http://schemas.microsoft.com/office/excel/2006/main">
          <x14:cfRule type="expression" priority="9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Y11:Y25 Y27:Y41</xm:sqref>
        </x14:conditionalFormatting>
        <x14:conditionalFormatting xmlns:xm="http://schemas.microsoft.com/office/excel/2006/main">
          <x14:cfRule type="expression" priority="5" id="{0B55AEC9-DD56-4685-A3A0-6BCDFB84E112}">
            <xm:f>D26&lt;&gt;IF(ISERROR(VLOOKUP($E26,'BDEW-Standard'!$B$3:$M$158,1,0)),"Ind.-Koef.","BDEW")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3" id="{A0737B0C-BD7B-4175-8EEA-88C0291F0481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5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C7" sqref="C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WEMAG Netz GmbH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Güstrow Umland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9870122800005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39083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427</v>
      </c>
    </row>
    <row r="10" spans="2:30" ht="72" customHeight="1" thickBot="1">
      <c r="B10" s="350" t="s">
        <v>578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398</v>
      </c>
      <c r="G10" s="348"/>
      <c r="H10" s="348"/>
      <c r="I10" s="348"/>
      <c r="J10" s="348"/>
      <c r="K10" s="348"/>
      <c r="L10" s="349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428</v>
      </c>
    </row>
    <row r="11" spans="2:30" ht="15.75" thickBot="1">
      <c r="B11" s="102" t="s">
        <v>419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1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400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401</v>
      </c>
      <c r="C14" s="116"/>
      <c r="D14" s="111">
        <v>6</v>
      </c>
      <c r="E14" s="304">
        <f t="shared" si="0"/>
        <v>0</v>
      </c>
      <c r="F14" s="30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4">
        <f t="shared" si="0"/>
        <v>0</v>
      </c>
      <c r="F15" s="30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414</v>
      </c>
      <c r="C16" s="116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415</v>
      </c>
      <c r="C17" s="116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416</v>
      </c>
      <c r="C18" s="116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403</v>
      </c>
      <c r="C19" s="116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417</v>
      </c>
      <c r="C21" s="116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418</v>
      </c>
      <c r="C22" s="116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4">
        <f t="shared" si="0"/>
        <v>0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404</v>
      </c>
      <c r="C24" s="116"/>
      <c r="D24" s="111">
        <v>16</v>
      </c>
      <c r="E24" s="304">
        <f t="shared" si="0"/>
        <v>0</v>
      </c>
      <c r="F24" s="30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405</v>
      </c>
      <c r="C25" s="116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406</v>
      </c>
      <c r="C26" s="116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407</v>
      </c>
      <c r="C27" s="116"/>
      <c r="D27" s="111">
        <v>19</v>
      </c>
      <c r="E27" s="304">
        <f t="shared" si="0"/>
        <v>1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408</v>
      </c>
      <c r="C28" s="116"/>
      <c r="D28" s="111">
        <v>20</v>
      </c>
      <c r="E28" s="304">
        <f t="shared" si="0"/>
        <v>0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409</v>
      </c>
      <c r="C29" s="116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410</v>
      </c>
      <c r="C30" s="116"/>
      <c r="D30" s="111">
        <v>22</v>
      </c>
      <c r="E30" s="304">
        <f t="shared" si="0"/>
        <v>0</v>
      </c>
      <c r="F30" s="30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411</v>
      </c>
      <c r="C31" s="116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412</v>
      </c>
      <c r="C32" s="116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413</v>
      </c>
      <c r="C33" s="122"/>
      <c r="D33" s="123">
        <v>25</v>
      </c>
      <c r="E33" s="305">
        <f t="shared" si="0"/>
        <v>0</v>
      </c>
      <c r="F33" s="30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347</v>
      </c>
      <c r="B1" s="212">
        <v>42173</v>
      </c>
      <c r="D1" s="130" t="s">
        <v>454</v>
      </c>
      <c r="F1" s="213" t="s">
        <v>540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647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540</v>
      </c>
    </row>
    <row r="2" spans="1:16">
      <c r="A2" s="233"/>
      <c r="B2" s="232" t="s">
        <v>456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Beirow, Oliver (WNG-NRR)</cp:lastModifiedBy>
  <cp:lastPrinted>2015-03-20T22:59:10Z</cp:lastPrinted>
  <dcterms:created xsi:type="dcterms:W3CDTF">2015-01-15T05:25:41Z</dcterms:created>
  <dcterms:modified xsi:type="dcterms:W3CDTF">2023-02-23T13:20:35Z</dcterms:modified>
</cp:coreProperties>
</file>